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80" windowHeight="9330" activeTab="0"/>
  </bookViews>
  <sheets>
    <sheet name="Càlcul nòmina" sheetId="1" r:id="rId1"/>
    <sheet name="Càlcul increment" sheetId="2" r:id="rId2"/>
    <sheet name="Noms" sheetId="3" r:id="rId3"/>
  </sheets>
  <definedNames>
    <definedName name="AccióSocial">'Càlcul increment'!$B$39</definedName>
    <definedName name="ACompteCE">'Càlcul increment'!$B$19</definedName>
    <definedName name="ACompteCER">'Càlcul increment'!$C$19</definedName>
    <definedName name="Acord28.07.06">'Càlcul increment'!$B$20</definedName>
    <definedName name="Acord28.07.06R">'Càlcul increment'!$C$20</definedName>
    <definedName name="Antiguitat">'Càlcul nòmina'!$E$8</definedName>
    <definedName name="Catedràtic">'Noms'!$A$2</definedName>
    <definedName name="CDCatedràtic">'Càlcul increment'!$B$10</definedName>
    <definedName name="CDCatedràticR">'Càlcul increment'!$C$10</definedName>
    <definedName name="CDMestres">'Càlcul increment'!$B$12</definedName>
    <definedName name="CDMestresR">'Càlcul increment'!$C$12</definedName>
    <definedName name="CDSecundariaFP">'Càlcul increment'!$B$11</definedName>
    <definedName name="CDSecundariaFPR">'Càlcul increment'!$C$11</definedName>
    <definedName name="CEAut0">'Càlcul increment'!$B$21</definedName>
    <definedName name="CEAut0R">'Càlcul increment'!$C$21</definedName>
    <definedName name="CEAut1">'Càlcul increment'!$B$22</definedName>
    <definedName name="CEAut12">'Càlcul increment'!$B$24</definedName>
    <definedName name="CEAut12R">'Càlcul increment'!$C$24</definedName>
    <definedName name="CEAut18">'Càlcul increment'!$B$25</definedName>
    <definedName name="CEAut18R">'Càlcul increment'!$C$25</definedName>
    <definedName name="CEAut1R">'Càlcul increment'!$C$22</definedName>
    <definedName name="CEAut24">'Càlcul increment'!$B$26</definedName>
    <definedName name="CEAut24R">'Càlcul increment'!$C$26</definedName>
    <definedName name="CEAut30">'Càlcul increment'!$B$27</definedName>
    <definedName name="CEAut30R">'Càlcul increment'!$C$27</definedName>
    <definedName name="CEAut6">'Càlcul increment'!$B$23</definedName>
    <definedName name="CEAut6R">'Càlcul increment'!$C$23</definedName>
    <definedName name="CEGenCatedràtic">'Càlcul increment'!$B$13</definedName>
    <definedName name="CEGenCatedràticR">'Càlcul increment'!$C$13</definedName>
    <definedName name="CEGenNoCatedràtic">'Càlcul increment'!$B$14</definedName>
    <definedName name="CEGenNoCatedràticR">'Càlcul increment'!$C$14</definedName>
    <definedName name="CFormacióInt">'Càlcul increment'!$B$38</definedName>
    <definedName name="CFormacióIntR">'Càlcul increment'!$C$38</definedName>
    <definedName name="CompESO">'Càlcul increment'!$B$41</definedName>
    <definedName name="CompESOR">'Càlcul increment'!$C$41</definedName>
    <definedName name="CompTutor">'Càlcul increment'!$B$40</definedName>
    <definedName name="CompTutorR">'Càlcul increment'!$C$40</definedName>
    <definedName name="CondCatedràric">'Càlcul increment'!$B$42</definedName>
    <definedName name="CondCatedràricR">'Càlcul increment'!$C$42</definedName>
    <definedName name="EtsTutor">'Càlcul nòmina'!$G$8</definedName>
    <definedName name="FasESO">'Càlcul nòmina'!$F$8</definedName>
    <definedName name="FCarrera">'Noms'!$A$10</definedName>
    <definedName name="FP">'Noms'!$A$4</definedName>
    <definedName name="FPràc">'Noms'!$A$9</definedName>
    <definedName name="Grup">'Noms'!$A$2:$A$5</definedName>
    <definedName name="GrupA1">'Noms'!$A$2:$A$3</definedName>
    <definedName name="GrupaA2">'Noms'!$A$4:$A$5</definedName>
    <definedName name="Grups">'Noms'!$A$2:$A$5</definedName>
    <definedName name="Illa">'Noms'!$A$13:$A$16</definedName>
    <definedName name="Increment">'Càlcul increment'!$G$1</definedName>
    <definedName name="IncrementPensions">'Càlcul increment'!$G$2</definedName>
    <definedName name="IndemResMallPri">'Càlcul increment'!$B$16</definedName>
    <definedName name="IndemResMallSec">'Càlcul increment'!$B$15</definedName>
    <definedName name="IndemResNoMallPri">'Càlcul increment'!$B$18</definedName>
    <definedName name="IndemResNoMallSec">'Càlcul increment'!$B$17</definedName>
    <definedName name="Interí">'Noms'!$A$8</definedName>
    <definedName name="Mestre">'Noms'!$A$5</definedName>
    <definedName name="Secundària">'Noms'!$A$3</definedName>
    <definedName name="Sexenni1">'Càlcul increment'!$B$33</definedName>
    <definedName name="Sexenni1r">'Càlcul increment'!$C$33</definedName>
    <definedName name="Sexenni2">'Càlcul increment'!$B$34</definedName>
    <definedName name="Sexenni2r">'Càlcul increment'!$C$34</definedName>
    <definedName name="Sexenni3">'Càlcul increment'!$B$35</definedName>
    <definedName name="Sexenni3R">'Càlcul increment'!$C$35</definedName>
    <definedName name="Sexenni4">'Càlcul increment'!$B$36</definedName>
    <definedName name="Sexenni4R">'Càlcul increment'!$C$36</definedName>
    <definedName name="Sexenni5">'Càlcul increment'!$B$37</definedName>
    <definedName name="Sexenni5R">'Càlcul increment'!$C$37</definedName>
    <definedName name="SituacióAdministrativa">'Noms'!$A$8:$A$10</definedName>
    <definedName name="SouPrimaria">'Càlcul increment'!$B$7</definedName>
    <definedName name="SouPrimariaE">'Càlcul increment'!$D$7</definedName>
    <definedName name="SouPrimariaR">'Càlcul increment'!$C$7</definedName>
    <definedName name="SouSecundaria">'Càlcul increment'!$B$6</definedName>
    <definedName name="SouSecundariaE">'Càlcul increment'!$D$6</definedName>
    <definedName name="SouSecundariaR">'Càlcul increment'!$C$6</definedName>
    <definedName name="TriaGrup">'Càlcul nòmina'!$B$8</definedName>
    <definedName name="TriaIlla">'Càlcul nòmina'!$D$8</definedName>
    <definedName name="TriaSituació">'Càlcul nòmina'!$C$8</definedName>
    <definedName name="TrienniA1">'Càlcul increment'!$B$8</definedName>
    <definedName name="TrienniA1E">'Càlcul increment'!$D$8</definedName>
    <definedName name="TrienniA1R">'Càlcul increment'!$C$8</definedName>
    <definedName name="TrienniA2">'Càlcul increment'!$B$9</definedName>
    <definedName name="TrienniA2E">'Càlcul increment'!$D$9</definedName>
    <definedName name="TrienniA2R">'Càlcul increment'!$C$9</definedName>
  </definedNames>
  <calcPr fullCalcOnLoad="1"/>
</workbook>
</file>

<file path=xl/sharedStrings.xml><?xml version="1.0" encoding="utf-8"?>
<sst xmlns="http://schemas.openxmlformats.org/spreadsheetml/2006/main" count="124" uniqueCount="113">
  <si>
    <t>Sou sec</t>
  </si>
  <si>
    <t>Sou pri</t>
  </si>
  <si>
    <t>CD catedràtic</t>
  </si>
  <si>
    <t>CD pri</t>
  </si>
  <si>
    <t>CE Gen cate</t>
  </si>
  <si>
    <t>CE Gen resta</t>
  </si>
  <si>
    <t>Indem Mallor sec</t>
  </si>
  <si>
    <t>Indem Mallor pri</t>
  </si>
  <si>
    <t>Indem Resta sec</t>
  </si>
  <si>
    <t>Indem Resta pri</t>
  </si>
  <si>
    <t>A compte CE</t>
  </si>
  <si>
    <t>Acord 28.07.06</t>
  </si>
  <si>
    <t>CE aut 6</t>
  </si>
  <si>
    <t>CE aut 12</t>
  </si>
  <si>
    <t>CE aut 18</t>
  </si>
  <si>
    <t>CE aut 24</t>
  </si>
  <si>
    <t>CE aut 30</t>
  </si>
  <si>
    <t>CE aut 0 any</t>
  </si>
  <si>
    <t>CE aut 1</t>
  </si>
  <si>
    <t>Sexenni 1</t>
  </si>
  <si>
    <t>Sexenni 2</t>
  </si>
  <si>
    <t>Sexenni 3</t>
  </si>
  <si>
    <t>Sexenni 4</t>
  </si>
  <si>
    <t>Sexenni 5</t>
  </si>
  <si>
    <t>Sexenni 2 acumulat</t>
  </si>
  <si>
    <t>Sexenni 3 acumulat</t>
  </si>
  <si>
    <t>Sexenni 4 acumulat</t>
  </si>
  <si>
    <t>Sexenni 5 acumulat</t>
  </si>
  <si>
    <t>Sexenni 1 acumulat</t>
  </si>
  <si>
    <t>Acció social</t>
  </si>
  <si>
    <t>Comp f. tutorial</t>
  </si>
  <si>
    <t>Drets Passius A2</t>
  </si>
  <si>
    <t>Drets Passius A1</t>
  </si>
  <si>
    <t>MUFACE A1</t>
  </si>
  <si>
    <t>MUFACE A2</t>
  </si>
  <si>
    <t>A1. Catedràtic</t>
  </si>
  <si>
    <t>A1. Secundària i similars</t>
  </si>
  <si>
    <t>A2. FP i similars</t>
  </si>
  <si>
    <t>A2. Mestres</t>
  </si>
  <si>
    <t>Situació administrativa</t>
  </si>
  <si>
    <t>Illa</t>
  </si>
  <si>
    <t>Grup</t>
  </si>
  <si>
    <t>Mallorca</t>
  </si>
  <si>
    <t>Menorca</t>
  </si>
  <si>
    <t>Eivissa</t>
  </si>
  <si>
    <t>Formentera</t>
  </si>
  <si>
    <t>Func. en pràctiques</t>
  </si>
  <si>
    <t>Func. de carrera</t>
  </si>
  <si>
    <t>Func. interí</t>
  </si>
  <si>
    <t>Sou base</t>
  </si>
  <si>
    <t>CD sec, FP i similars</t>
  </si>
  <si>
    <t>Condició catedràtic</t>
  </si>
  <si>
    <t>Jubilació A1</t>
  </si>
  <si>
    <t>Jubilació A2</t>
  </si>
  <si>
    <t>Pensions</t>
  </si>
  <si>
    <t>Drets passius</t>
  </si>
  <si>
    <t>MUFACE</t>
  </si>
  <si>
    <t>2010 (juny-desembre) i 2011</t>
  </si>
  <si>
    <t>Tri A2</t>
  </si>
  <si>
    <t>Tri A1</t>
  </si>
  <si>
    <t>Paga extra juny</t>
  </si>
  <si>
    <t>Paga extra desembre</t>
  </si>
  <si>
    <t>Càrrecs</t>
  </si>
  <si>
    <t>Director/a</t>
  </si>
  <si>
    <t>Cap d'estudis</t>
  </si>
  <si>
    <t>Secretari/a</t>
  </si>
  <si>
    <t>Cap de departament</t>
  </si>
  <si>
    <t>Tutor/a</t>
  </si>
  <si>
    <t>Coordinador/a de cicle</t>
  </si>
  <si>
    <t>Increment</t>
  </si>
  <si>
    <t>Triennis</t>
  </si>
  <si>
    <t>1r cicle d'ESO</t>
  </si>
  <si>
    <t>Compl. Form. Int</t>
  </si>
  <si>
    <t>Complement 1r cicle ESO</t>
  </si>
  <si>
    <t>Complement tutor</t>
  </si>
  <si>
    <t>Nòmina de gener a maig</t>
  </si>
  <si>
    <t>Nòmina de juny a desembre</t>
  </si>
  <si>
    <t>STEI-Intersindical</t>
  </si>
  <si>
    <t xml:space="preserve">Sexennis </t>
  </si>
  <si>
    <t>Indem. residència</t>
  </si>
  <si>
    <t>A compte compl.esp.</t>
  </si>
  <si>
    <t>C. Esp. Form. Perm.</t>
  </si>
  <si>
    <t>C. Esp. Com. Aut.</t>
  </si>
  <si>
    <t>Omple els espais de la primera graella amb les teves dades</t>
  </si>
  <si>
    <t>Comp. Esp.Gen.</t>
  </si>
  <si>
    <t>Compl.de destí</t>
  </si>
  <si>
    <t>Calcul nòmina amb retallada. Funcionaris docents</t>
  </si>
  <si>
    <t>Aquest càlcul no inclou els complements específics singulars (director, cap d'estudis, etc)</t>
  </si>
  <si>
    <t>Només inclou els conceptes comuns a tots els docents</t>
  </si>
  <si>
    <t>A la nòmina mensual, el sou base i els triennis es retallen un 4,5% a secundària i similars i un 2,7% a FP i Primària</t>
  </si>
  <si>
    <t>A la paga extra de desembre el sou base i triennis es retallen un 46,3% a secundària i un 32,8% a FP i Primària</t>
  </si>
  <si>
    <t>La resta de complements es retallen un 5%, excepte la indemnització de residència i l'acció social que no es toquen</t>
  </si>
  <si>
    <t>1. Tria el grup on pertanys</t>
  </si>
  <si>
    <t>2. Tria la situació administrativa</t>
  </si>
  <si>
    <t>3. A quina illa fas feina?</t>
  </si>
  <si>
    <t>4. Anys d'antiguitat?</t>
  </si>
  <si>
    <t>5. Estàs a 1r cicle d'ESO?</t>
  </si>
  <si>
    <t>6. Ets tutor/a?</t>
  </si>
  <si>
    <t>7. Fills &lt;18</t>
  </si>
  <si>
    <t>No</t>
  </si>
  <si>
    <t>Total sou de juny a desembre 2010*</t>
  </si>
  <si>
    <t>*Inclou 7 mesos i la extraordinària de desembre. No inclou la paga extra del mes de juny, ja que es no experimenta reducció</t>
  </si>
  <si>
    <t>Total sou 2011**</t>
  </si>
  <si>
    <t>Sense reducció</t>
  </si>
  <si>
    <t>Amb reducció</t>
  </si>
  <si>
    <t>Total sou 2010+2011</t>
  </si>
  <si>
    <t>Pèrdua mensual</t>
  </si>
  <si>
    <t>Pèrdua paga extra</t>
  </si>
  <si>
    <t>Pèrdua juny a desembre 2010</t>
  </si>
  <si>
    <t>Pèrdua 2011</t>
  </si>
  <si>
    <t>Pèrdua 2010-2011</t>
  </si>
  <si>
    <t>Total brut</t>
  </si>
  <si>
    <t>**Inclou les 12 pagues i les dues extraordinàries, suposant que els seus es congelin, tal com diu l'esborrany dels pressuposts estatals 2010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</si>
</sst>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0.000000000"/>
    <numFmt numFmtId="178" formatCode="0.0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\ _€_-;\-* #,##0.0\ _€_-;_-* &quot;-&quot;??\ _€_-;_-@_-"/>
    <numFmt numFmtId="186" formatCode="[$-403]dddd\,\ d&quot; / &quot;mmmm&quot; / &quot;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36"/>
      <color indexed="8"/>
      <name val="DejaVu Sans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32" borderId="10" xfId="0" applyFont="1" applyFill="1" applyBorder="1" applyAlignment="1" applyProtection="1">
      <alignment horizontal="center" wrapText="1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0" fontId="0" fillId="0" borderId="0" xfId="53" applyNumberFormat="1" applyFont="1" applyAlignment="1">
      <alignment/>
    </xf>
    <xf numFmtId="0" fontId="0" fillId="0" borderId="0" xfId="0" applyAlignment="1">
      <alignment/>
    </xf>
    <xf numFmtId="0" fontId="4" fillId="32" borderId="14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0" fontId="4" fillId="32" borderId="15" xfId="0" applyFont="1" applyFill="1" applyBorder="1" applyAlignment="1" applyProtection="1">
      <alignment horizontal="center" vertical="center" wrapText="1"/>
      <protection/>
    </xf>
    <xf numFmtId="0" fontId="4" fillId="32" borderId="16" xfId="0" applyFont="1" applyFill="1" applyBorder="1" applyAlignment="1" applyProtection="1">
      <alignment horizontal="center" vertical="center" wrapText="1"/>
      <protection/>
    </xf>
    <xf numFmtId="2" fontId="0" fillId="33" borderId="17" xfId="47" applyNumberFormat="1" applyFont="1" applyFill="1" applyBorder="1" applyAlignment="1" applyProtection="1">
      <alignment horizontal="center" vertical="center"/>
      <protection/>
    </xf>
    <xf numFmtId="2" fontId="0" fillId="33" borderId="18" xfId="47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/>
      <protection/>
    </xf>
    <xf numFmtId="0" fontId="4" fillId="32" borderId="20" xfId="0" applyFont="1" applyFill="1" applyBorder="1" applyAlignment="1" applyProtection="1">
      <alignment horizontal="left" wrapText="1"/>
      <protection/>
    </xf>
    <xf numFmtId="0" fontId="4" fillId="32" borderId="21" xfId="0" applyFont="1" applyFill="1" applyBorder="1" applyAlignment="1" applyProtection="1">
      <alignment horizontal="left" wrapText="1"/>
      <protection/>
    </xf>
    <xf numFmtId="0" fontId="5" fillId="32" borderId="22" xfId="0" applyFont="1" applyFill="1" applyBorder="1" applyAlignment="1" applyProtection="1">
      <alignment horizontal="left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0" fontId="4" fillId="32" borderId="24" xfId="0" applyFont="1" applyFill="1" applyBorder="1" applyAlignment="1" applyProtection="1">
      <alignment horizontal="center" vertical="center" wrapText="1"/>
      <protection/>
    </xf>
    <xf numFmtId="2" fontId="0" fillId="33" borderId="14" xfId="47" applyNumberFormat="1" applyFont="1" applyFill="1" applyBorder="1" applyAlignment="1" applyProtection="1">
      <alignment horizontal="center" vertical="center"/>
      <protection/>
    </xf>
    <xf numFmtId="2" fontId="0" fillId="33" borderId="11" xfId="47" applyNumberFormat="1" applyFont="1" applyFill="1" applyBorder="1" applyAlignment="1" applyProtection="1">
      <alignment horizontal="center" vertical="center"/>
      <protection/>
    </xf>
    <xf numFmtId="2" fontId="5" fillId="33" borderId="25" xfId="47" applyNumberFormat="1" applyFont="1" applyFill="1" applyBorder="1" applyAlignment="1" applyProtection="1">
      <alignment horizontal="center" vertical="center"/>
      <protection/>
    </xf>
    <xf numFmtId="2" fontId="5" fillId="33" borderId="26" xfId="47" applyNumberFormat="1" applyFont="1" applyFill="1" applyBorder="1" applyAlignment="1" applyProtection="1">
      <alignment horizontal="center" vertical="center"/>
      <protection/>
    </xf>
    <xf numFmtId="2" fontId="5" fillId="33" borderId="27" xfId="47" applyNumberFormat="1" applyFont="1" applyFill="1" applyBorder="1" applyAlignment="1" applyProtection="1">
      <alignment horizontal="center" vertical="center"/>
      <protection/>
    </xf>
    <xf numFmtId="10" fontId="5" fillId="33" borderId="13" xfId="53" applyNumberFormat="1" applyFont="1" applyFill="1" applyBorder="1" applyAlignment="1" applyProtection="1">
      <alignment horizontal="center" vertical="center"/>
      <protection/>
    </xf>
    <xf numFmtId="2" fontId="0" fillId="33" borderId="28" xfId="47" applyNumberFormat="1" applyFont="1" applyFill="1" applyBorder="1" applyAlignment="1" applyProtection="1">
      <alignment horizontal="center" vertical="center"/>
      <protection/>
    </xf>
    <xf numFmtId="2" fontId="0" fillId="33" borderId="29" xfId="47" applyNumberFormat="1" applyFont="1" applyFill="1" applyBorder="1" applyAlignment="1" applyProtection="1">
      <alignment horizontal="center" vertical="center"/>
      <protection/>
    </xf>
    <xf numFmtId="2" fontId="5" fillId="33" borderId="30" xfId="4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4" fillId="0" borderId="34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35" borderId="33" xfId="47" applyNumberFormat="1" applyFont="1" applyFill="1" applyBorder="1" applyAlignment="1" applyProtection="1">
      <alignment horizontal="center" vertical="center"/>
      <protection/>
    </xf>
    <xf numFmtId="0" fontId="8" fillId="35" borderId="35" xfId="47" applyNumberFormat="1" applyFont="1" applyFill="1" applyBorder="1" applyAlignment="1" applyProtection="1">
      <alignment horizontal="center" vertical="center"/>
      <protection/>
    </xf>
    <xf numFmtId="0" fontId="8" fillId="35" borderId="20" xfId="47" applyNumberFormat="1" applyFont="1" applyFill="1" applyBorder="1" applyAlignment="1" applyProtection="1">
      <alignment horizontal="center" vertical="center"/>
      <protection/>
    </xf>
    <xf numFmtId="0" fontId="8" fillId="35" borderId="36" xfId="47" applyNumberFormat="1" applyFont="1" applyFill="1" applyBorder="1" applyAlignment="1" applyProtection="1">
      <alignment horizontal="center" vertical="center"/>
      <protection/>
    </xf>
    <xf numFmtId="0" fontId="7" fillId="32" borderId="37" xfId="0" applyFont="1" applyFill="1" applyBorder="1" applyAlignment="1" applyProtection="1">
      <alignment horizontal="center" vertical="center" wrapText="1"/>
      <protection/>
    </xf>
    <xf numFmtId="0" fontId="7" fillId="32" borderId="38" xfId="0" applyFont="1" applyFill="1" applyBorder="1" applyAlignment="1" applyProtection="1">
      <alignment horizontal="center" vertical="center" wrapText="1"/>
      <protection/>
    </xf>
    <xf numFmtId="0" fontId="7" fillId="32" borderId="33" xfId="0" applyFont="1" applyFill="1" applyBorder="1" applyAlignment="1" applyProtection="1">
      <alignment horizontal="center" vertical="center" wrapText="1"/>
      <protection/>
    </xf>
    <xf numFmtId="0" fontId="7" fillId="32" borderId="35" xfId="0" applyFont="1" applyFill="1" applyBorder="1" applyAlignment="1" applyProtection="1">
      <alignment horizontal="center" vertical="center" wrapText="1"/>
      <protection/>
    </xf>
    <xf numFmtId="0" fontId="7" fillId="32" borderId="39" xfId="0" applyFont="1" applyFill="1" applyBorder="1" applyAlignment="1" applyProtection="1">
      <alignment horizontal="center" vertical="center" wrapText="1"/>
      <protection/>
    </xf>
    <xf numFmtId="0" fontId="7" fillId="32" borderId="40" xfId="0" applyFont="1" applyFill="1" applyBorder="1" applyAlignment="1" applyProtection="1">
      <alignment horizontal="center" vertical="center" wrapText="1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0" fillId="35" borderId="3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36" xfId="0" applyFont="1" applyFill="1" applyBorder="1" applyAlignment="1" applyProtection="1">
      <alignment horizontal="center" vertical="center" wrapText="1"/>
      <protection/>
    </xf>
    <xf numFmtId="0" fontId="0" fillId="35" borderId="41" xfId="47" applyNumberFormat="1" applyFont="1" applyFill="1" applyBorder="1" applyAlignment="1" applyProtection="1">
      <alignment horizontal="center" vertical="center"/>
      <protection/>
    </xf>
    <xf numFmtId="0" fontId="0" fillId="35" borderId="42" xfId="47" applyNumberFormat="1" applyFont="1" applyFill="1" applyBorder="1" applyAlignment="1" applyProtection="1">
      <alignment horizontal="center" vertical="center"/>
      <protection/>
    </xf>
    <xf numFmtId="0" fontId="0" fillId="35" borderId="20" xfId="47" applyNumberFormat="1" applyFont="1" applyFill="1" applyBorder="1" applyAlignment="1" applyProtection="1">
      <alignment horizontal="center" vertical="center"/>
      <protection/>
    </xf>
    <xf numFmtId="0" fontId="0" fillId="35" borderId="36" xfId="47" applyNumberFormat="1" applyFont="1" applyFill="1" applyBorder="1" applyAlignment="1" applyProtection="1">
      <alignment horizontal="center" vertical="center"/>
      <protection/>
    </xf>
    <xf numFmtId="0" fontId="0" fillId="35" borderId="41" xfId="0" applyFont="1" applyFill="1" applyBorder="1" applyAlignment="1" applyProtection="1">
      <alignment horizontal="center" vertical="center" wrapText="1"/>
      <protection/>
    </xf>
    <xf numFmtId="0" fontId="0" fillId="35" borderId="42" xfId="0" applyFont="1" applyFill="1" applyBorder="1" applyAlignment="1" applyProtection="1">
      <alignment horizontal="center" vertical="center" wrapText="1"/>
      <protection/>
    </xf>
    <xf numFmtId="0" fontId="0" fillId="35" borderId="33" xfId="47" applyNumberFormat="1" applyFont="1" applyFill="1" applyBorder="1" applyAlignment="1" applyProtection="1">
      <alignment horizontal="center" vertical="center"/>
      <protection/>
    </xf>
    <xf numFmtId="0" fontId="0" fillId="35" borderId="35" xfId="47" applyNumberFormat="1" applyFont="1" applyFill="1" applyBorder="1" applyAlignment="1" applyProtection="1">
      <alignment horizontal="center" vertical="center"/>
      <protection/>
    </xf>
    <xf numFmtId="0" fontId="5" fillId="35" borderId="37" xfId="0" applyFont="1" applyFill="1" applyBorder="1" applyAlignment="1" applyProtection="1">
      <alignment horizontal="center" vertical="center" wrapText="1"/>
      <protection/>
    </xf>
    <xf numFmtId="0" fontId="5" fillId="35" borderId="38" xfId="0" applyFont="1" applyFill="1" applyBorder="1" applyAlignment="1" applyProtection="1">
      <alignment horizontal="center" vertical="center" wrapText="1"/>
      <protection/>
    </xf>
    <xf numFmtId="0" fontId="5" fillId="35" borderId="39" xfId="0" applyFont="1" applyFill="1" applyBorder="1" applyAlignment="1" applyProtection="1">
      <alignment horizontal="center" vertical="center" wrapText="1"/>
      <protection/>
    </xf>
    <xf numFmtId="0" fontId="5" fillId="35" borderId="40" xfId="0" applyFont="1" applyFill="1" applyBorder="1" applyAlignment="1" applyProtection="1">
      <alignment horizontal="center" vertical="center" wrapText="1"/>
      <protection/>
    </xf>
    <xf numFmtId="0" fontId="6" fillId="32" borderId="33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10" fontId="8" fillId="35" borderId="41" xfId="53" applyNumberFormat="1" applyFont="1" applyFill="1" applyBorder="1" applyAlignment="1" applyProtection="1">
      <alignment horizontal="center" vertical="center"/>
      <protection/>
    </xf>
    <xf numFmtId="10" fontId="8" fillId="35" borderId="42" xfId="53" applyNumberFormat="1" applyFont="1" applyFill="1" applyBorder="1" applyAlignment="1" applyProtection="1">
      <alignment horizontal="center" vertical="center"/>
      <protection/>
    </xf>
    <xf numFmtId="10" fontId="8" fillId="35" borderId="32" xfId="53" applyNumberFormat="1" applyFont="1" applyFill="1" applyBorder="1" applyAlignment="1" applyProtection="1">
      <alignment horizontal="center" vertical="center"/>
      <protection/>
    </xf>
    <xf numFmtId="10" fontId="8" fillId="35" borderId="43" xfId="53" applyNumberFormat="1" applyFont="1" applyFill="1" applyBorder="1" applyAlignment="1" applyProtection="1">
      <alignment horizontal="center" vertical="center"/>
      <protection/>
    </xf>
    <xf numFmtId="2" fontId="5" fillId="33" borderId="44" xfId="47" applyNumberFormat="1" applyFont="1" applyFill="1" applyBorder="1" applyAlignment="1" applyProtection="1">
      <alignment horizontal="center" vertical="center"/>
      <protection/>
    </xf>
    <xf numFmtId="2" fontId="5" fillId="33" borderId="45" xfId="47" applyNumberFormat="1" applyFont="1" applyFill="1" applyBorder="1" applyAlignment="1" applyProtection="1">
      <alignment horizontal="center" vertical="center"/>
      <protection/>
    </xf>
    <xf numFmtId="2" fontId="5" fillId="33" borderId="44" xfId="47" applyNumberFormat="1" applyFont="1" applyFill="1" applyBorder="1" applyAlignment="1" applyProtection="1">
      <alignment horizontal="center" vertical="center" wrapText="1"/>
      <protection/>
    </xf>
    <xf numFmtId="2" fontId="5" fillId="33" borderId="45" xfId="47" applyNumberFormat="1" applyFont="1" applyFill="1" applyBorder="1" applyAlignment="1" applyProtection="1">
      <alignment horizontal="center" vertical="center" wrapText="1"/>
      <protection/>
    </xf>
    <xf numFmtId="0" fontId="7" fillId="32" borderId="37" xfId="0" applyFont="1" applyFill="1" applyBorder="1" applyAlignment="1" applyProtection="1">
      <alignment horizontal="center" wrapText="1"/>
      <protection/>
    </xf>
    <xf numFmtId="0" fontId="7" fillId="32" borderId="38" xfId="0" applyFont="1" applyFill="1" applyBorder="1" applyAlignment="1" applyProtection="1">
      <alignment horizontal="center" wrapText="1"/>
      <protection/>
    </xf>
    <xf numFmtId="0" fontId="7" fillId="32" borderId="33" xfId="0" applyFont="1" applyFill="1" applyBorder="1" applyAlignment="1" applyProtection="1">
      <alignment horizontal="center" wrapText="1"/>
      <protection/>
    </xf>
    <xf numFmtId="0" fontId="7" fillId="32" borderId="35" xfId="0" applyFont="1" applyFill="1" applyBorder="1" applyAlignment="1" applyProtection="1">
      <alignment horizontal="center" wrapText="1"/>
      <protection/>
    </xf>
    <xf numFmtId="0" fontId="7" fillId="32" borderId="39" xfId="0" applyFont="1" applyFill="1" applyBorder="1" applyAlignment="1" applyProtection="1">
      <alignment horizontal="center" wrapText="1"/>
      <protection/>
    </xf>
    <xf numFmtId="0" fontId="7" fillId="32" borderId="40" xfId="0" applyFont="1" applyFill="1" applyBorder="1" applyAlignment="1" applyProtection="1">
      <alignment horizontal="center" wrapText="1"/>
      <protection/>
    </xf>
    <xf numFmtId="0" fontId="7" fillId="36" borderId="46" xfId="0" applyFont="1" applyFill="1" applyBorder="1" applyAlignment="1" applyProtection="1">
      <alignment horizontal="center"/>
      <protection/>
    </xf>
    <xf numFmtId="0" fontId="7" fillId="36" borderId="47" xfId="0" applyFont="1" applyFill="1" applyBorder="1" applyAlignment="1" applyProtection="1">
      <alignment horizontal="center"/>
      <protection/>
    </xf>
    <xf numFmtId="0" fontId="7" fillId="36" borderId="48" xfId="0" applyFont="1" applyFill="1" applyBorder="1" applyAlignment="1" applyProtection="1">
      <alignment horizontal="center"/>
      <protection/>
    </xf>
    <xf numFmtId="0" fontId="0" fillId="0" borderId="49" xfId="0" applyFont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O37"/>
  <sheetViews>
    <sheetView tabSelected="1" workbookViewId="0" topLeftCell="B1">
      <selection activeCell="H8" sqref="H8"/>
    </sheetView>
  </sheetViews>
  <sheetFormatPr defaultColWidth="11.421875" defaultRowHeight="12.75"/>
  <cols>
    <col min="1" max="1" width="5.7109375" style="0" customWidth="1"/>
    <col min="2" max="2" width="22.8515625" style="0" customWidth="1"/>
    <col min="3" max="3" width="19.140625" style="0" bestFit="1" customWidth="1"/>
    <col min="4" max="4" width="15.28125" style="0" customWidth="1"/>
    <col min="5" max="5" width="12.7109375" style="0" bestFit="1" customWidth="1"/>
    <col min="6" max="6" width="12.421875" style="0" bestFit="1" customWidth="1"/>
    <col min="7" max="7" width="12.28125" style="0" bestFit="1" customWidth="1"/>
    <col min="8" max="8" width="8.421875" style="0" bestFit="1" customWidth="1"/>
    <col min="9" max="9" width="10.8515625" style="0" customWidth="1"/>
    <col min="10" max="10" width="8.140625" style="0" customWidth="1"/>
    <col min="11" max="11" width="5.7109375" style="0" customWidth="1"/>
    <col min="12" max="12" width="11.7109375" style="0" customWidth="1"/>
  </cols>
  <sheetData>
    <row r="2" spans="2:12" ht="44.25">
      <c r="B2" s="76" t="s">
        <v>77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2:12" ht="18">
      <c r="B3" s="44" t="s">
        <v>86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8" ht="13.5" thickBot="1">
      <c r="B4" s="8"/>
      <c r="C4" s="8"/>
      <c r="D4" s="8"/>
      <c r="E4" s="8"/>
      <c r="F4" s="8"/>
      <c r="G4" s="8"/>
      <c r="H4" s="8"/>
    </row>
    <row r="5" spans="2:8" ht="18.75" thickBot="1">
      <c r="B5" s="92" t="s">
        <v>83</v>
      </c>
      <c r="C5" s="93"/>
      <c r="D5" s="93"/>
      <c r="E5" s="93"/>
      <c r="F5" s="93"/>
      <c r="G5" s="93"/>
      <c r="H5" s="94"/>
    </row>
    <row r="6" spans="2:8" ht="13.5" thickBot="1">
      <c r="B6" s="8"/>
      <c r="C6" s="8"/>
      <c r="D6" s="8"/>
      <c r="E6" s="8"/>
      <c r="F6" s="8"/>
      <c r="G6" s="8"/>
      <c r="H6" s="8"/>
    </row>
    <row r="7" spans="2:8" ht="25.5">
      <c r="B7" s="18" t="s">
        <v>92</v>
      </c>
      <c r="C7" s="10" t="s">
        <v>93</v>
      </c>
      <c r="D7" s="11" t="s">
        <v>94</v>
      </c>
      <c r="E7" s="11" t="s">
        <v>95</v>
      </c>
      <c r="F7" s="11" t="s">
        <v>96</v>
      </c>
      <c r="G7" s="11" t="s">
        <v>97</v>
      </c>
      <c r="H7" s="12" t="s">
        <v>98</v>
      </c>
    </row>
    <row r="8" spans="2:8" ht="13.5" thickBot="1">
      <c r="B8" s="95" t="s">
        <v>36</v>
      </c>
      <c r="C8" s="13" t="s">
        <v>48</v>
      </c>
      <c r="D8" s="19" t="s">
        <v>42</v>
      </c>
      <c r="E8" s="14">
        <v>9</v>
      </c>
      <c r="F8" s="14" t="s">
        <v>99</v>
      </c>
      <c r="G8" s="14" t="s">
        <v>99</v>
      </c>
      <c r="H8" s="15">
        <v>0</v>
      </c>
    </row>
    <row r="9" spans="2:8" ht="13.5" thickBot="1">
      <c r="B9" s="9"/>
      <c r="C9" s="9"/>
      <c r="D9" s="9"/>
      <c r="E9" s="9"/>
      <c r="F9" s="9"/>
      <c r="G9" s="9"/>
      <c r="H9" s="9"/>
    </row>
    <row r="10" spans="2:12" ht="25.5" customHeight="1" thickBot="1">
      <c r="B10" s="24"/>
      <c r="C10" s="28" t="s">
        <v>75</v>
      </c>
      <c r="D10" s="29" t="s">
        <v>76</v>
      </c>
      <c r="E10" s="20" t="s">
        <v>60</v>
      </c>
      <c r="F10" s="21" t="s">
        <v>61</v>
      </c>
      <c r="G10" s="86" t="s">
        <v>100</v>
      </c>
      <c r="H10" s="87"/>
      <c r="I10" s="54" t="s">
        <v>102</v>
      </c>
      <c r="J10" s="55"/>
      <c r="K10" s="54" t="s">
        <v>105</v>
      </c>
      <c r="L10" s="55"/>
    </row>
    <row r="11" spans="2:12" ht="15.75" customHeight="1">
      <c r="B11" s="25" t="s">
        <v>49</v>
      </c>
      <c r="C11" s="30">
        <f>IF(OR(TriaGrup=Catedràtic,TriaGrup=Secundària),SouSecundaria,IF(OR(TriaGrup=FP,TriaGrup=Mestre),SouPrimaria,))</f>
        <v>1161.3</v>
      </c>
      <c r="D11" s="31">
        <f>IF(OR(TriaGrup=Catedràtic,TriaGrup=Secundària),SouSecundariaR,IF(OR(TriaGrup=FP,TriaGrup=Mestre),SouPrimariaR,))</f>
        <v>1109.05</v>
      </c>
      <c r="E11" s="36">
        <f>C11</f>
        <v>1161.3</v>
      </c>
      <c r="F11" s="37">
        <f>IF(OR(TriaGrup=Catedràtic,TriaGrup=Secundària),SouSecundariaE,IF(OR(TriaGrup=FP,TriaGrup=Mestre),SouPrimariaE,))</f>
        <v>623.62</v>
      </c>
      <c r="G11" s="88"/>
      <c r="H11" s="89"/>
      <c r="I11" s="56"/>
      <c r="J11" s="57"/>
      <c r="K11" s="56"/>
      <c r="L11" s="57"/>
    </row>
    <row r="12" spans="2:12" ht="15.75" customHeight="1">
      <c r="B12" s="26" t="s">
        <v>70</v>
      </c>
      <c r="C12" s="22">
        <f>IF(LEFT(TriaGrup,2)="A1",INT(Antiguitat/3)*TrienniA1,IF(LEFT(TriaGrup,2)="A2",INT(Antiguitat/3)*TrienniA2,))</f>
        <v>133.95</v>
      </c>
      <c r="D12" s="23">
        <f>IF(LEFT(TriaGrup,2)="A1",INT(Antiguitat/3)*TrienniA1R,IF(LEFT(TriaGrup,2)="A2",INT(Antiguitat/3)*TrienniA2R,))</f>
        <v>127.94999999999999</v>
      </c>
      <c r="E12" s="22">
        <f aca="true" t="shared" si="0" ref="E12:F21">C12</f>
        <v>133.95</v>
      </c>
      <c r="F12" s="23">
        <f>IF(LEFT(TriaGrup,2)="A1",INT(Antiguitat/3)*TrienniA1E,IF(LEFT(TriaGrup,2)="A2",INT(Antiguitat/3)*TrienniA2E,))</f>
        <v>71.94</v>
      </c>
      <c r="G12" s="90"/>
      <c r="H12" s="91"/>
      <c r="I12" s="58"/>
      <c r="J12" s="59"/>
      <c r="K12" s="58"/>
      <c r="L12" s="59"/>
    </row>
    <row r="13" spans="2:12" ht="12.75" customHeight="1">
      <c r="B13" s="26" t="s">
        <v>85</v>
      </c>
      <c r="C13" s="22">
        <f>IF(TriaGrup=Catedràtic,CDCatedràtic,IF(OR(TriaGrup=FP,TriaGrup=Secundària),CDSecundariaFP,IF(TriaGrup=Mestre,CDMestres,)))</f>
        <v>613.6</v>
      </c>
      <c r="D13" s="23">
        <f>IF(TriaGrup=Catedràtic,CDCatedràticR,IF(OR(TriaGrup=FP,TriaGrup=Secundària),CDSecundariaFPR,IF(TriaGrup=Mestre,CDMestresR,)))</f>
        <v>582.92</v>
      </c>
      <c r="E13" s="22">
        <f t="shared" si="0"/>
        <v>613.6</v>
      </c>
      <c r="F13" s="23">
        <f t="shared" si="0"/>
        <v>582.92</v>
      </c>
      <c r="G13" s="60" t="s">
        <v>103</v>
      </c>
      <c r="H13" s="61"/>
      <c r="I13" s="60" t="s">
        <v>103</v>
      </c>
      <c r="J13" s="61"/>
      <c r="K13" s="60" t="s">
        <v>103</v>
      </c>
      <c r="L13" s="61"/>
    </row>
    <row r="14" spans="2:12" ht="12.75">
      <c r="B14" s="26" t="s">
        <v>84</v>
      </c>
      <c r="C14" s="22">
        <f>IF(TriaGrup=Catedràtic,CEGenCatedràtic,IF(OR(TriaGrup=Secundària,TriaGrup=FP,TriaGrup=Mestre),CEGenNoCatedràtic,))</f>
        <v>244.95999999999998</v>
      </c>
      <c r="D14" s="23">
        <f>IF(TriaGrup=Catedràtic,CEGenCatedràticR,IF(OR(TriaGrup=Secundària,TriaGrup=FP,TriaGrup=Mestre),CEGenNoCatedràticR,))</f>
        <v>232.72</v>
      </c>
      <c r="E14" s="22">
        <f t="shared" si="0"/>
        <v>244.95999999999998</v>
      </c>
      <c r="F14" s="23">
        <f t="shared" si="0"/>
        <v>232.72</v>
      </c>
      <c r="G14" s="62"/>
      <c r="H14" s="63"/>
      <c r="I14" s="62"/>
      <c r="J14" s="63"/>
      <c r="K14" s="62"/>
      <c r="L14" s="63"/>
    </row>
    <row r="15" spans="2:12" ht="15.75" customHeight="1">
      <c r="B15" s="26" t="s">
        <v>79</v>
      </c>
      <c r="C15" s="22">
        <f>IF(OR(TriaGrup=Catedràtic,TriaGrup=Secundària),IF(TriaIlla="Mallorca",IndemResMallSec,IndemResNoMallSec),IF(OR(TriaGrup=FP,TriaGrup=Mestre,TriaGrup=Secundària),IF(TriaIlla="Mallorca",IndemResMallPri,IndemResNoMallPri),))</f>
        <v>91.93</v>
      </c>
      <c r="D15" s="23">
        <f>C15</f>
        <v>91.93</v>
      </c>
      <c r="E15" s="22">
        <v>0</v>
      </c>
      <c r="F15" s="23">
        <v>0</v>
      </c>
      <c r="G15" s="64">
        <f>C24*7+E24</f>
        <v>22401.359999999997</v>
      </c>
      <c r="H15" s="65"/>
      <c r="I15" s="64">
        <f>C24*12+E24*2</f>
        <v>39074.46</v>
      </c>
      <c r="J15" s="65"/>
      <c r="K15" s="64">
        <f>SUM(G15:J16)</f>
        <v>61475.81999999999</v>
      </c>
      <c r="L15" s="65"/>
    </row>
    <row r="16" spans="2:12" ht="12.75" customHeight="1">
      <c r="B16" s="26" t="s">
        <v>80</v>
      </c>
      <c r="C16" s="22">
        <f>ACompteCE</f>
        <v>46.26</v>
      </c>
      <c r="D16" s="23">
        <f>ACompteCER</f>
        <v>43.949999999999996</v>
      </c>
      <c r="E16" s="22">
        <f t="shared" si="0"/>
        <v>46.26</v>
      </c>
      <c r="F16" s="23">
        <f t="shared" si="0"/>
        <v>43.949999999999996</v>
      </c>
      <c r="G16" s="66"/>
      <c r="H16" s="67"/>
      <c r="I16" s="66"/>
      <c r="J16" s="67"/>
      <c r="K16" s="66"/>
      <c r="L16" s="67"/>
    </row>
    <row r="17" spans="2:12" ht="15.75" customHeight="1">
      <c r="B17" s="26" t="s">
        <v>11</v>
      </c>
      <c r="C17" s="22">
        <f>Acord28.07.06</f>
        <v>93.95</v>
      </c>
      <c r="D17" s="23">
        <f>Acord28.07.06R</f>
        <v>89.26</v>
      </c>
      <c r="E17" s="22">
        <f t="shared" si="0"/>
        <v>93.95</v>
      </c>
      <c r="F17" s="23">
        <f t="shared" si="0"/>
        <v>89.26</v>
      </c>
      <c r="G17" s="68" t="s">
        <v>104</v>
      </c>
      <c r="H17" s="69"/>
      <c r="I17" s="68" t="s">
        <v>104</v>
      </c>
      <c r="J17" s="69"/>
      <c r="K17" s="68" t="s">
        <v>104</v>
      </c>
      <c r="L17" s="69"/>
    </row>
    <row r="18" spans="2:12" ht="12.75">
      <c r="B18" s="26" t="s">
        <v>82</v>
      </c>
      <c r="C18" s="22">
        <f>IF(Antiguitat="",0,IF(Antiguitat=0,CEAut0,IF(OR(TriaSituació=Interí,TriaSituació=FPràc),IF(Antiguitat&lt;6,CEAut0,CEAut6),CHOOSE(INT(Antiguitat/6)+1,CEAut1,CEAut6,CEAut12,CEAut18,CEAut24,CEAut30))))</f>
        <v>419.75</v>
      </c>
      <c r="D18" s="23">
        <f>IF(Antiguitat="",0,IF(Antiguitat=0,CEAut0R,IF(OR(TriaSituació=Interí,TriaSituació=FPràc),IF(Antiguitat&lt;6,CEAut0R,CEAut6R),CHOOSE(INT(Antiguitat/6)+1,CEAut1R,CEAut6R,CEAut12R,CEAut18R,CEAut24R,CEAut30R))))</f>
        <v>398.77</v>
      </c>
      <c r="E18" s="22">
        <v>0</v>
      </c>
      <c r="F18" s="23">
        <v>0</v>
      </c>
      <c r="G18" s="62"/>
      <c r="H18" s="63"/>
      <c r="I18" s="62"/>
      <c r="J18" s="63"/>
      <c r="K18" s="62"/>
      <c r="L18" s="63"/>
    </row>
    <row r="19" spans="2:12" ht="15.75" customHeight="1">
      <c r="B19" s="26" t="s">
        <v>78</v>
      </c>
      <c r="C19" s="22">
        <f>IF(TriaSituació=FCarrera,CHOOSE(INT(Antiguitat/6)+1,0,Sexenni1,Sexenni2,Sexenni3,Sexenni4,Sexenni5),0)</f>
        <v>0</v>
      </c>
      <c r="D19" s="23">
        <f>IF(TriaSituació=FCarrera,CHOOSE(INT(Antiguitat/6)+1,0,Sexenni1r,Sexenni2r,Sexenni3R,Sexenni4R,Sexenni5R),0)</f>
        <v>0</v>
      </c>
      <c r="E19" s="22">
        <f t="shared" si="0"/>
        <v>0</v>
      </c>
      <c r="F19" s="23">
        <f t="shared" si="0"/>
        <v>0</v>
      </c>
      <c r="G19" s="64">
        <f>D24*7+F24</f>
        <v>20824.339999999997</v>
      </c>
      <c r="H19" s="65"/>
      <c r="I19" s="64">
        <f>D24*12+F24*2</f>
        <v>36184.56</v>
      </c>
      <c r="J19" s="65"/>
      <c r="K19" s="64">
        <f>SUM(G19:J20)</f>
        <v>57008.899999999994</v>
      </c>
      <c r="L19" s="65"/>
    </row>
    <row r="20" spans="2:12" ht="12.75" customHeight="1" thickBot="1">
      <c r="B20" s="26" t="s">
        <v>81</v>
      </c>
      <c r="C20" s="22">
        <f>IF(OR(TriaSituació=Interí,TriaSituació=FPràc),IF(Antiguitat&lt;6,0,CFormacióInt),0)</f>
        <v>58.43</v>
      </c>
      <c r="D20" s="23">
        <f>IF(OR(TriaSituació=Interí,TriaSituació=FPràc),IF(Antiguitat&lt;6,0,CFormacióIntR),0)</f>
        <v>55.51</v>
      </c>
      <c r="E20" s="22">
        <f t="shared" si="0"/>
        <v>58.43</v>
      </c>
      <c r="F20" s="23">
        <f t="shared" si="0"/>
        <v>55.51</v>
      </c>
      <c r="G20" s="70"/>
      <c r="H20" s="71"/>
      <c r="I20" s="70"/>
      <c r="J20" s="71"/>
      <c r="K20" s="70"/>
      <c r="L20" s="71"/>
    </row>
    <row r="21" spans="2:14" s="7" customFormat="1" ht="15" customHeight="1">
      <c r="B21" s="26" t="s">
        <v>29</v>
      </c>
      <c r="C21" s="22">
        <f>H8*AccióSocial</f>
        <v>0</v>
      </c>
      <c r="D21" s="23">
        <f>C21</f>
        <v>0</v>
      </c>
      <c r="E21" s="22">
        <f t="shared" si="0"/>
        <v>0</v>
      </c>
      <c r="F21" s="23">
        <f t="shared" si="0"/>
        <v>0</v>
      </c>
      <c r="G21" s="72" t="s">
        <v>108</v>
      </c>
      <c r="H21" s="73"/>
      <c r="I21" s="72" t="s">
        <v>109</v>
      </c>
      <c r="J21" s="73"/>
      <c r="K21" s="72" t="s">
        <v>110</v>
      </c>
      <c r="L21" s="73"/>
      <c r="N21"/>
    </row>
    <row r="22" spans="2:14" s="7" customFormat="1" ht="15.75">
      <c r="B22" s="26" t="s">
        <v>71</v>
      </c>
      <c r="C22" s="22">
        <f>IF(AND(TriaGrup=Mestre,FasESO="Si"),CompESO,0)</f>
        <v>0</v>
      </c>
      <c r="D22" s="23">
        <f>IF(AND(TriaGrup=Mestre,FasESO="Si"),CompESOR,0)</f>
        <v>0</v>
      </c>
      <c r="E22" s="22">
        <f>IF(AND(TriaGrup=Mestre,FasESO="Si"),CompESO,0)</f>
        <v>0</v>
      </c>
      <c r="F22" s="23">
        <f>IF(AND(TriaGrup=Mestre,FasESO="Si"),CompESOR,0)</f>
        <v>0</v>
      </c>
      <c r="G22" s="74"/>
      <c r="H22" s="75"/>
      <c r="I22" s="74"/>
      <c r="J22" s="75"/>
      <c r="K22" s="74"/>
      <c r="L22" s="75"/>
      <c r="N22"/>
    </row>
    <row r="23" spans="2:12" s="7" customFormat="1" ht="15.75">
      <c r="B23" s="26" t="s">
        <v>74</v>
      </c>
      <c r="C23" s="22">
        <f>IF(EtsTutor="Si",CompTutor,0)</f>
        <v>0</v>
      </c>
      <c r="D23" s="23">
        <f>IF(EtsTutor="Si",CompTutorR,0)</f>
        <v>0</v>
      </c>
      <c r="E23" s="22">
        <f>IF(EtsTutor="Si",CompTutor,0)</f>
        <v>0</v>
      </c>
      <c r="F23" s="23">
        <f>IF(EtsTutor="Si",CompTutorR,0)</f>
        <v>0</v>
      </c>
      <c r="G23" s="50">
        <f>G19-G15</f>
        <v>-1577.0200000000004</v>
      </c>
      <c r="H23" s="51"/>
      <c r="I23" s="50">
        <f>I19-I15</f>
        <v>-2889.9000000000015</v>
      </c>
      <c r="J23" s="51"/>
      <c r="K23" s="50">
        <f>K19-K15</f>
        <v>-4466.919999999998</v>
      </c>
      <c r="L23" s="51"/>
    </row>
    <row r="24" spans="2:14" ht="15.75">
      <c r="B24" s="27" t="s">
        <v>111</v>
      </c>
      <c r="C24" s="32">
        <f>SUM(C11:C23)</f>
        <v>2864.1299999999997</v>
      </c>
      <c r="D24" s="33">
        <f>SUM(D11:D23)</f>
        <v>2732.06</v>
      </c>
      <c r="E24" s="32">
        <f>IF(TriaGrup=Catedràtic,SUM(E11:E23)+CondCatedràric,SUM(E11:E23))</f>
        <v>2352.45</v>
      </c>
      <c r="F24" s="38">
        <f>IF(TriaGrup=Catedràtic,SUM(F11:F23)+CondCatedràricR,SUM(F11:F23))</f>
        <v>1699.92</v>
      </c>
      <c r="G24" s="52"/>
      <c r="H24" s="53"/>
      <c r="I24" s="52"/>
      <c r="J24" s="53"/>
      <c r="K24" s="52"/>
      <c r="L24" s="53"/>
      <c r="N24" s="7"/>
    </row>
    <row r="25" spans="2:14" ht="15" customHeight="1">
      <c r="B25" s="40"/>
      <c r="C25" s="82" t="s">
        <v>106</v>
      </c>
      <c r="D25" s="34">
        <f>D24-C24</f>
        <v>-132.0699999999997</v>
      </c>
      <c r="E25" s="84" t="s">
        <v>107</v>
      </c>
      <c r="F25" s="34">
        <f>F24-E24</f>
        <v>-652.5299999999997</v>
      </c>
      <c r="G25" s="78">
        <f>G23/G15</f>
        <v>-0.07039840438259108</v>
      </c>
      <c r="H25" s="79"/>
      <c r="I25" s="78">
        <f>I23/I15</f>
        <v>-0.07395879559180092</v>
      </c>
      <c r="J25" s="79"/>
      <c r="K25" s="78">
        <f>K23/K15</f>
        <v>-0.07266141386971331</v>
      </c>
      <c r="L25" s="79"/>
      <c r="N25" s="7"/>
    </row>
    <row r="26" spans="2:14" ht="16.5" thickBot="1">
      <c r="B26" s="41"/>
      <c r="C26" s="83"/>
      <c r="D26" s="35">
        <f>D25/C24</f>
        <v>-0.0461117337551018</v>
      </c>
      <c r="E26" s="85"/>
      <c r="F26" s="35">
        <f>F25/E24</f>
        <v>-0.27738315373334177</v>
      </c>
      <c r="G26" s="80"/>
      <c r="H26" s="81"/>
      <c r="I26" s="80"/>
      <c r="J26" s="81"/>
      <c r="K26" s="80"/>
      <c r="L26" s="81"/>
      <c r="N26" s="7"/>
    </row>
    <row r="27" spans="2:15" ht="12.75">
      <c r="B27" s="46" t="s">
        <v>87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O27" s="43"/>
    </row>
    <row r="28" spans="2:15" ht="12.75">
      <c r="B28" s="47" t="s">
        <v>88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O28" s="43"/>
    </row>
    <row r="29" spans="2:12" s="42" customFormat="1" ht="15" customHeight="1">
      <c r="B29" s="49" t="s">
        <v>89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2:12" ht="12.75">
      <c r="B30" s="49" t="s">
        <v>90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2:12" ht="12.75" customHeight="1">
      <c r="B31" s="49" t="s">
        <v>91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2:12" ht="12.75" customHeight="1">
      <c r="B32" s="48" t="s">
        <v>101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12.75">
      <c r="A33" s="17"/>
      <c r="B33" s="48" t="s">
        <v>112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7" spans="9:10" ht="12.75">
      <c r="I37" s="39"/>
      <c r="J37" s="39"/>
    </row>
  </sheetData>
  <sheetProtection password="FC2E" sheet="1" selectLockedCells="1"/>
  <mergeCells count="36">
    <mergeCell ref="G23:H24"/>
    <mergeCell ref="G25:H26"/>
    <mergeCell ref="I15:J16"/>
    <mergeCell ref="B5:H5"/>
    <mergeCell ref="G17:H18"/>
    <mergeCell ref="G19:H20"/>
    <mergeCell ref="B2:L2"/>
    <mergeCell ref="I25:J26"/>
    <mergeCell ref="K25:L26"/>
    <mergeCell ref="C25:C26"/>
    <mergeCell ref="E25:E26"/>
    <mergeCell ref="G10:H12"/>
    <mergeCell ref="G13:H14"/>
    <mergeCell ref="I10:J12"/>
    <mergeCell ref="I13:J14"/>
    <mergeCell ref="I17:J18"/>
    <mergeCell ref="I19:J20"/>
    <mergeCell ref="I21:J22"/>
    <mergeCell ref="G15:H16"/>
    <mergeCell ref="G21:H22"/>
    <mergeCell ref="K13:L14"/>
    <mergeCell ref="K15:L16"/>
    <mergeCell ref="K17:L18"/>
    <mergeCell ref="K19:L20"/>
    <mergeCell ref="K21:L22"/>
    <mergeCell ref="K23:L24"/>
    <mergeCell ref="B3:L3"/>
    <mergeCell ref="B27:L27"/>
    <mergeCell ref="B28:L28"/>
    <mergeCell ref="B33:L33"/>
    <mergeCell ref="B32:L32"/>
    <mergeCell ref="B31:L31"/>
    <mergeCell ref="B30:L30"/>
    <mergeCell ref="B29:L29"/>
    <mergeCell ref="I23:J24"/>
    <mergeCell ref="K10:L12"/>
  </mergeCells>
  <dataValidations count="7">
    <dataValidation type="whole" operator="greaterThanOrEqual" allowBlank="1" showInputMessage="1" showErrorMessage="1" prompt="Introdueix els fills que tens menors de 18 anys" error="Ha de ser un nombre natural" sqref="H8">
      <formula1>0</formula1>
    </dataValidation>
    <dataValidation type="list" allowBlank="1" showInputMessage="1" showErrorMessage="1" prompt="Només per aquelles persones que tenen reconeguda la funció tutorial" error="Només està permés Si o No" sqref="G8">
      <formula1>"Si, No"</formula1>
    </dataValidation>
    <dataValidation type="whole" allowBlank="1" showInputMessage="1" showErrorMessage="1" prompt="Introdueix la teva antiguitat, inclosos els anys com a interí/na" error="Ha de ser un nombre entre 0 i 35" sqref="E8">
      <formula1>0</formula1>
      <formula2>35</formula2>
    </dataValidation>
    <dataValidation type="list" allowBlank="1" showInputMessage="1" showErrorMessage="1" prompt="Tria la illa on fas feina" error="Aquesta illa no existeix" sqref="D8">
      <formula1>Illa</formula1>
    </dataValidation>
    <dataValidation errorStyle="information" type="list" allowBlank="1" showInputMessage="1" showErrorMessage="1" prompt="Tria la teva situació administrativa" errorTitle="Error" error="Tria un element de la llista desplegable" sqref="C8">
      <formula1>SituacióAdministrativa</formula1>
    </dataValidation>
    <dataValidation type="list" allowBlank="1" showInputMessage="1" showErrorMessage="1" prompt="Tria el grup on pertanys" errorTitle="Error" error="Tria un element de la llista" sqref="B8">
      <formula1>Grup</formula1>
    </dataValidation>
    <dataValidation type="list" allowBlank="1" showInputMessage="1" showErrorMessage="1" prompt="Si ets del cos de primària, digues si dónes classes a 1r cicle d'ESO" error="Només està permès Si o No" sqref="F8">
      <formula1>"Si, No"</formula1>
    </dataValidation>
  </dataValidations>
  <printOptions/>
  <pageMargins left="0.75" right="0.75" top="1" bottom="1" header="0" footer="0"/>
  <pageSetup horizontalDpi="600" verticalDpi="600" orientation="portrait" paperSize="9" r:id="rId1"/>
  <ignoredErrors>
    <ignoredError sqref="D22:D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48"/>
  <sheetViews>
    <sheetView zoomScalePageLayoutView="0" workbookViewId="0" topLeftCell="A13">
      <selection activeCell="B45" sqref="B45"/>
    </sheetView>
  </sheetViews>
  <sheetFormatPr defaultColWidth="11.421875" defaultRowHeight="12.75"/>
  <cols>
    <col min="1" max="1" width="22.8515625" style="0" bestFit="1" customWidth="1"/>
    <col min="2" max="2" width="25.28125" style="2" bestFit="1" customWidth="1"/>
    <col min="3" max="3" width="24.7109375" style="1" bestFit="1" customWidth="1"/>
    <col min="4" max="4" width="12.00390625" style="1" customWidth="1"/>
    <col min="5" max="5" width="11.421875" style="1" customWidth="1"/>
    <col min="6" max="6" width="11.57421875" style="0" customWidth="1"/>
    <col min="7" max="16384" width="11.421875" style="1" customWidth="1"/>
  </cols>
  <sheetData>
    <row r="1" spans="2:7" ht="12.75">
      <c r="B1" s="4">
        <v>2010</v>
      </c>
      <c r="C1" s="1" t="s">
        <v>57</v>
      </c>
      <c r="D1" s="1" t="s">
        <v>61</v>
      </c>
      <c r="F1" t="s">
        <v>69</v>
      </c>
      <c r="G1" s="1">
        <v>-5</v>
      </c>
    </row>
    <row r="2" spans="6:7" ht="12.75">
      <c r="F2" s="5" t="s">
        <v>54</v>
      </c>
      <c r="G2" s="1">
        <v>1</v>
      </c>
    </row>
    <row r="3" spans="6:7" ht="12.75">
      <c r="F3" s="5" t="s">
        <v>55</v>
      </c>
      <c r="G3" s="1">
        <v>3.86</v>
      </c>
    </row>
    <row r="4" spans="6:7" ht="12.75">
      <c r="F4" s="5" t="s">
        <v>56</v>
      </c>
      <c r="G4" s="1">
        <v>1.69</v>
      </c>
    </row>
    <row r="6" spans="1:5" ht="12.75">
      <c r="A6" t="s">
        <v>0</v>
      </c>
      <c r="B6" s="1">
        <v>1161.3</v>
      </c>
      <c r="C6" s="6">
        <v>1109.05</v>
      </c>
      <c r="D6" s="1">
        <v>623.62</v>
      </c>
      <c r="E6" s="16">
        <f>1-D6/B6</f>
        <v>0.462998363902523</v>
      </c>
    </row>
    <row r="7" spans="1:5" ht="12.75">
      <c r="A7" t="s">
        <v>1</v>
      </c>
      <c r="B7" s="1">
        <v>985.59</v>
      </c>
      <c r="C7" s="1">
        <v>958.98</v>
      </c>
      <c r="D7" s="1">
        <v>662.32</v>
      </c>
      <c r="E7" s="16">
        <f>1-D7/B7</f>
        <v>0.32799642853519206</v>
      </c>
    </row>
    <row r="8" spans="1:5" ht="12.75">
      <c r="A8" t="s">
        <v>59</v>
      </c>
      <c r="B8" s="1">
        <v>44.65</v>
      </c>
      <c r="C8" s="1">
        <v>42.65</v>
      </c>
      <c r="D8" s="1">
        <v>23.98</v>
      </c>
      <c r="E8" s="16">
        <f>1-D8/B8</f>
        <v>0.46293393057110854</v>
      </c>
    </row>
    <row r="9" spans="1:5" ht="12.75">
      <c r="A9" t="s">
        <v>58</v>
      </c>
      <c r="B9" s="1">
        <v>35.73</v>
      </c>
      <c r="C9" s="1">
        <v>34.77</v>
      </c>
      <c r="D9" s="1">
        <v>24.02</v>
      </c>
      <c r="E9" s="16">
        <f>1-D9/B9</f>
        <v>0.3277357962496501</v>
      </c>
    </row>
    <row r="10" spans="1:3" ht="12.75">
      <c r="A10" t="s">
        <v>2</v>
      </c>
      <c r="B10" s="1">
        <v>734.9399999999999</v>
      </c>
      <c r="C10" s="1">
        <f aca="true" t="shared" si="0" ref="C10:C40">ROUNDUP(B10+B10*Increment%,2)</f>
        <v>698.2</v>
      </c>
    </row>
    <row r="11" spans="1:3" ht="12.75">
      <c r="A11" t="s">
        <v>50</v>
      </c>
      <c r="B11" s="1">
        <v>613.6</v>
      </c>
      <c r="C11" s="1">
        <f t="shared" si="0"/>
        <v>582.92</v>
      </c>
    </row>
    <row r="12" spans="1:3" ht="12.75">
      <c r="A12" t="s">
        <v>3</v>
      </c>
      <c r="B12" s="1">
        <v>498.26</v>
      </c>
      <c r="C12" s="1">
        <f t="shared" si="0"/>
        <v>473.34999999999997</v>
      </c>
    </row>
    <row r="13" spans="1:3" ht="12.75">
      <c r="A13" t="s">
        <v>4</v>
      </c>
      <c r="B13" s="1">
        <v>297.03999999999996</v>
      </c>
      <c r="C13" s="1">
        <f t="shared" si="0"/>
        <v>282.19</v>
      </c>
    </row>
    <row r="14" spans="1:3" ht="12.75">
      <c r="A14" t="s">
        <v>5</v>
      </c>
      <c r="B14" s="1">
        <v>244.95999999999998</v>
      </c>
      <c r="C14" s="1">
        <f t="shared" si="0"/>
        <v>232.72</v>
      </c>
    </row>
    <row r="15" spans="1:2" ht="12.75">
      <c r="A15" t="s">
        <v>6</v>
      </c>
      <c r="B15" s="1">
        <v>91.93</v>
      </c>
    </row>
    <row r="16" spans="1:2" ht="12.75">
      <c r="A16" t="s">
        <v>7</v>
      </c>
      <c r="B16" s="1">
        <v>73.92</v>
      </c>
    </row>
    <row r="17" spans="1:2" ht="12.75">
      <c r="A17" t="s">
        <v>8</v>
      </c>
      <c r="B17" s="1">
        <v>101.78</v>
      </c>
    </row>
    <row r="18" spans="1:2" ht="12.75">
      <c r="A18" t="s">
        <v>9</v>
      </c>
      <c r="B18" s="1">
        <v>88.7</v>
      </c>
    </row>
    <row r="19" spans="1:3" ht="12.75">
      <c r="A19" t="s">
        <v>10</v>
      </c>
      <c r="B19" s="1">
        <v>46.26</v>
      </c>
      <c r="C19" s="1">
        <f t="shared" si="0"/>
        <v>43.949999999999996</v>
      </c>
    </row>
    <row r="20" spans="1:3" ht="12.75">
      <c r="A20" t="s">
        <v>11</v>
      </c>
      <c r="B20" s="1">
        <v>93.95</v>
      </c>
      <c r="C20" s="1">
        <f t="shared" si="0"/>
        <v>89.26</v>
      </c>
    </row>
    <row r="21" spans="1:3" ht="12.75">
      <c r="A21" t="s">
        <v>17</v>
      </c>
      <c r="B21" s="1">
        <v>352.19</v>
      </c>
      <c r="C21" s="1">
        <f t="shared" si="0"/>
        <v>334.59</v>
      </c>
    </row>
    <row r="22" spans="1:3" ht="12.75">
      <c r="A22" t="s">
        <v>18</v>
      </c>
      <c r="B22" s="1">
        <v>366.89</v>
      </c>
      <c r="C22" s="1">
        <f t="shared" si="0"/>
        <v>348.55</v>
      </c>
    </row>
    <row r="23" spans="1:3" ht="12.75">
      <c r="A23" t="s">
        <v>12</v>
      </c>
      <c r="B23" s="1">
        <v>419.75</v>
      </c>
      <c r="C23" s="1">
        <f t="shared" si="0"/>
        <v>398.77</v>
      </c>
    </row>
    <row r="24" spans="1:3" ht="12.75">
      <c r="A24" t="s">
        <v>13</v>
      </c>
      <c r="B24" s="1">
        <v>457.57</v>
      </c>
      <c r="C24" s="1">
        <f t="shared" si="0"/>
        <v>434.7</v>
      </c>
    </row>
    <row r="25" spans="1:3" ht="12.75">
      <c r="A25" t="s">
        <v>14</v>
      </c>
      <c r="B25" s="1">
        <v>471.37</v>
      </c>
      <c r="C25" s="1">
        <f t="shared" si="0"/>
        <v>447.81</v>
      </c>
    </row>
    <row r="26" spans="1:3" ht="12.75">
      <c r="A26" t="s">
        <v>15</v>
      </c>
      <c r="B26" s="1">
        <v>449.57</v>
      </c>
      <c r="C26" s="1">
        <f t="shared" si="0"/>
        <v>427.09999999999997</v>
      </c>
    </row>
    <row r="27" spans="1:3" ht="12.75">
      <c r="A27" t="s">
        <v>16</v>
      </c>
      <c r="B27" s="1">
        <v>520.93</v>
      </c>
      <c r="C27" s="1">
        <f t="shared" si="0"/>
        <v>494.89</v>
      </c>
    </row>
    <row r="28" spans="1:3" ht="12.75">
      <c r="A28" t="s">
        <v>19</v>
      </c>
      <c r="B28" s="1">
        <v>58.43</v>
      </c>
      <c r="C28" s="1">
        <f t="shared" si="0"/>
        <v>55.51</v>
      </c>
    </row>
    <row r="29" spans="1:3" ht="12.75">
      <c r="A29" t="s">
        <v>20</v>
      </c>
      <c r="B29" s="1">
        <v>73.72</v>
      </c>
      <c r="C29" s="1">
        <f t="shared" si="0"/>
        <v>70.04</v>
      </c>
    </row>
    <row r="30" spans="1:3" ht="12.75">
      <c r="A30" t="s">
        <v>21</v>
      </c>
      <c r="B30" s="1">
        <v>98.24000000000001</v>
      </c>
      <c r="C30" s="1">
        <f t="shared" si="0"/>
        <v>93.33</v>
      </c>
    </row>
    <row r="31" spans="1:3" ht="12.75">
      <c r="A31" t="s">
        <v>22</v>
      </c>
      <c r="B31" s="1">
        <v>134.44</v>
      </c>
      <c r="C31" s="1">
        <f t="shared" si="0"/>
        <v>127.72</v>
      </c>
    </row>
    <row r="32" spans="1:3" ht="12.75">
      <c r="A32" t="s">
        <v>23</v>
      </c>
      <c r="B32" s="1">
        <v>39.58</v>
      </c>
      <c r="C32" s="1">
        <f t="shared" si="0"/>
        <v>37.61</v>
      </c>
    </row>
    <row r="33" spans="1:3" ht="12.75">
      <c r="A33" t="s">
        <v>28</v>
      </c>
      <c r="B33" s="2">
        <f>SUM(B28)</f>
        <v>58.43</v>
      </c>
      <c r="C33" s="2">
        <f>SUM(C28)</f>
        <v>55.51</v>
      </c>
    </row>
    <row r="34" spans="1:3" ht="12.75">
      <c r="A34" t="s">
        <v>24</v>
      </c>
      <c r="B34" s="2">
        <f>SUM(B28:B29)</f>
        <v>132.15</v>
      </c>
      <c r="C34" s="2">
        <f>SUM(C28:C29)</f>
        <v>125.55000000000001</v>
      </c>
    </row>
    <row r="35" spans="1:3" ht="12.75">
      <c r="A35" t="s">
        <v>25</v>
      </c>
      <c r="B35" s="2">
        <f>SUM(B28:B30)</f>
        <v>230.39000000000001</v>
      </c>
      <c r="C35" s="2">
        <f>SUM(C28:C30)</f>
        <v>218.88</v>
      </c>
    </row>
    <row r="36" spans="1:3" ht="12.75">
      <c r="A36" t="s">
        <v>26</v>
      </c>
      <c r="B36" s="2">
        <f>SUM(B28:B31)</f>
        <v>364.83000000000004</v>
      </c>
      <c r="C36" s="2">
        <f>SUM(C28:C31)</f>
        <v>346.6</v>
      </c>
    </row>
    <row r="37" spans="1:3" ht="12.75">
      <c r="A37" t="s">
        <v>27</v>
      </c>
      <c r="B37" s="2">
        <f>SUM(B28:B32)</f>
        <v>404.41</v>
      </c>
      <c r="C37" s="2">
        <f>SUM(C28:C32)</f>
        <v>384.21000000000004</v>
      </c>
    </row>
    <row r="38" spans="1:3" ht="12.75">
      <c r="A38" t="s">
        <v>72</v>
      </c>
      <c r="B38" s="1">
        <v>58.43</v>
      </c>
      <c r="C38" s="1">
        <f t="shared" si="0"/>
        <v>55.51</v>
      </c>
    </row>
    <row r="39" spans="1:3" ht="12.75">
      <c r="A39" t="s">
        <v>29</v>
      </c>
      <c r="B39" s="2">
        <v>38.199999999999996</v>
      </c>
      <c r="C39" s="2">
        <f>B39</f>
        <v>38.199999999999996</v>
      </c>
    </row>
    <row r="40" spans="1:3" ht="12.75">
      <c r="A40" t="s">
        <v>30</v>
      </c>
      <c r="B40" s="1">
        <v>31.32</v>
      </c>
      <c r="C40" s="1">
        <f t="shared" si="0"/>
        <v>29.76</v>
      </c>
    </row>
    <row r="41" spans="1:3" ht="12.75">
      <c r="A41" t="s">
        <v>73</v>
      </c>
      <c r="B41" s="2">
        <f>B11-B12</f>
        <v>115.34000000000003</v>
      </c>
      <c r="C41" s="2">
        <f>C11-C12</f>
        <v>109.57</v>
      </c>
    </row>
    <row r="42" spans="1:3" ht="12.75">
      <c r="A42" t="s">
        <v>51</v>
      </c>
      <c r="B42" s="1">
        <v>52.089999999999996</v>
      </c>
      <c r="C42" s="1">
        <f>ROUNDUP(B42+B42*Increment%,2)</f>
        <v>49.489999999999995</v>
      </c>
    </row>
    <row r="43" spans="1:2" ht="12.75">
      <c r="A43" t="s">
        <v>52</v>
      </c>
      <c r="B43" s="2">
        <v>38769.75</v>
      </c>
    </row>
    <row r="44" spans="1:2" ht="12.75">
      <c r="A44" t="s">
        <v>53</v>
      </c>
      <c r="B44" s="2">
        <v>30512.769999999997</v>
      </c>
    </row>
    <row r="45" spans="1:2" ht="12.75">
      <c r="A45" t="s">
        <v>33</v>
      </c>
      <c r="B45" s="2">
        <v>46.800626785714286</v>
      </c>
    </row>
    <row r="46" spans="1:2" ht="12.75">
      <c r="A46" t="s">
        <v>34</v>
      </c>
      <c r="B46" s="3">
        <v>36.83327235714285</v>
      </c>
    </row>
    <row r="47" spans="1:2" ht="12.75">
      <c r="A47" t="s">
        <v>32</v>
      </c>
      <c r="B47" s="1">
        <v>105.74000000000001</v>
      </c>
    </row>
    <row r="48" spans="1:2" ht="12.75">
      <c r="A48" t="s">
        <v>31</v>
      </c>
      <c r="B48" s="1">
        <v>83.22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24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52.57421875" style="0" bestFit="1" customWidth="1"/>
  </cols>
  <sheetData>
    <row r="1" ht="12.75">
      <c r="A1" s="1" t="s">
        <v>41</v>
      </c>
    </row>
    <row r="2" ht="12.75">
      <c r="A2" t="s">
        <v>35</v>
      </c>
    </row>
    <row r="3" ht="12.75">
      <c r="A3" t="s">
        <v>36</v>
      </c>
    </row>
    <row r="4" ht="12.75">
      <c r="A4" t="s">
        <v>37</v>
      </c>
    </row>
    <row r="5" ht="12.75">
      <c r="A5" t="s">
        <v>38</v>
      </c>
    </row>
    <row r="6" ht="12.75">
      <c r="A6" s="1"/>
    </row>
    <row r="7" ht="12.75">
      <c r="A7" s="1" t="s">
        <v>39</v>
      </c>
    </row>
    <row r="8" ht="12.75">
      <c r="A8" s="1" t="s">
        <v>48</v>
      </c>
    </row>
    <row r="9" ht="12.75">
      <c r="A9" s="1" t="s">
        <v>46</v>
      </c>
    </row>
    <row r="10" ht="12.75">
      <c r="A10" s="1" t="s">
        <v>47</v>
      </c>
    </row>
    <row r="12" ht="12.75">
      <c r="A12" s="1" t="s">
        <v>40</v>
      </c>
    </row>
    <row r="13" ht="12.75">
      <c r="A13" s="1" t="s">
        <v>42</v>
      </c>
    </row>
    <row r="14" ht="12.75">
      <c r="A14" s="1" t="s">
        <v>43</v>
      </c>
    </row>
    <row r="15" ht="12.75">
      <c r="A15" s="1" t="s">
        <v>44</v>
      </c>
    </row>
    <row r="16" ht="12.75">
      <c r="A16" s="1" t="s">
        <v>45</v>
      </c>
    </row>
    <row r="18" ht="12.75">
      <c r="A18" t="s">
        <v>62</v>
      </c>
    </row>
    <row r="19" ht="12.75">
      <c r="A19" t="s">
        <v>63</v>
      </c>
    </row>
    <row r="20" ht="12.75">
      <c r="A20" t="s">
        <v>64</v>
      </c>
    </row>
    <row r="21" ht="12.75">
      <c r="A21" t="s">
        <v>65</v>
      </c>
    </row>
    <row r="22" ht="12.75">
      <c r="A22" t="s">
        <v>66</v>
      </c>
    </row>
    <row r="23" ht="12.75">
      <c r="A23" t="s">
        <v>67</v>
      </c>
    </row>
    <row r="24" ht="12.75">
      <c r="A24" t="s">
        <v>68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stei-i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informatica</cp:lastModifiedBy>
  <cp:lastPrinted>2009-12-22T11:52:04Z</cp:lastPrinted>
  <dcterms:created xsi:type="dcterms:W3CDTF">2008-11-04T09:46:08Z</dcterms:created>
  <dcterms:modified xsi:type="dcterms:W3CDTF">2010-10-15T09:43:16Z</dcterms:modified>
  <cp:category/>
  <cp:version/>
  <cp:contentType/>
  <cp:contentStatus/>
</cp:coreProperties>
</file>